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  <sheet name="грудень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<sst xmlns="http://schemas.openxmlformats.org/spreadsheetml/2006/main" count="1215" uniqueCount="228">
  <si>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</si>
  <si>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</si>
  <si>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</si>
  <si>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</si>
  <si>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</si>
  <si>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</si>
  <si>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</si>
  <si>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</si>
  <si>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</si>
  <si>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</si>
  <si>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</si>
  <si>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</si>
  <si>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</si>
  <si>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</si>
  <si>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</si>
  <si>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</si>
  <si>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</si>
  <si>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</si>
  <si>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</si>
  <si>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</si>
  <si>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</si>
  <si>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</si>
  <si>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</si>
  <si>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</si>
  <si>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</si>
  <si>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</si>
  <si>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</si>
  <si>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</si>
  <si>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</si>
  <si>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</si>
  <si>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</si>
  <si>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</si>
  <si>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</si>
  <si>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</si>
  <si>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</si>
  <si>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</si>
  <si>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</si>
  <si>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</si>
  <si>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</si>
  <si>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</si>
  <si>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</si>
  <si>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</si>
  <si>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</si>
  <si>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</si>
  <si>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</si>
  <si>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</si>
  <si>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</si>
  <si>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</si>
  <si>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</si>
  <si>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</si>
  <si>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</si>
  <si>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</si>
  <si>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</si>
  <si>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</si>
  <si>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</si>
  <si>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</si>
  <si>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</si>
  <si>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</si>
  <si>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</si>
  <si>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</si>
  <si>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</si>
  <si>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</si>
  <si>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</si>
  <si>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</si>
  <si>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</si>
  <si>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</si>
  <si>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</si>
  <si>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</si>
  <si>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</si>
  <si>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</si>
  <si>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</si>
  <si>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</si>
  <si>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</si>
  <si>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</si>
  <si>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</si>
  <si>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</si>
  <si>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</si>
  <si>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</si>
  <si>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</si>
  <si>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</si>
  <si>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</si>
  <si>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</si>
  <si>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</si>
  <si>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</si>
  <si>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</si>
  <si>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</si>
  <si>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</si>
  <si>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</si>
  <si>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</si>
  <si>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</si>
  <si>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</si>
  <si>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</si>
  <si>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</si>
  <si>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</si>
  <si>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</si>
  <si>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</si>
  <si>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</si>
  <si>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</si>
  <si>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</si>
  <si>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</si>
  <si>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</si>
  <si>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</si>
  <si>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</si>
  <si>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</si>
  <si>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</si>
  <si>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</si>
  <si>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</si>
  <si>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</si>
  <si>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</si>
  <si>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</si>
  <si>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</si>
  <si>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</si>
  <si>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</si>
  <si>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</si>
  <si>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</si>
  <si>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</si>
  <si>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</si>
  <si>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</si>
  <si>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</si>
  <si>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</si>
  <si>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</si>
  <si>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</si>
  <si>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</si>
  <si>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</si>
  <si>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</si>
  <si>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</si>
  <si>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</si>
  <si>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</si>
  <si>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</si>
  <si>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</si>
  <si>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</si>
  <si>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</si>
  <si>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</si>
  <si>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</si>
  <si>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</si>
  <si>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</si>
  <si>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</si>
  <si>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</si>
  <si>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</si>
  <si>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</si>
  <si>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</si>
  <si>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</si>
  <si>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</si>
  <si>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</si>
  <si>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</si>
  <si>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</si>
  <si>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</si>
  <si>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</si>
  <si>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</si>
  <si>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</si>
  <si>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</si>
  <si>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</si>
  <si>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</si>
  <si>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</si>
  <si>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</si>
  <si>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</si>
  <si>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</si>
  <si>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</si>
  <si>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</si>
  <si>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</si>
  <si>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</si>
  <si>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</si>
  <si>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</si>
  <si>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</si>
  <si>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</si>
  <si>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</si>
  <si>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</si>
  <si>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</si>
  <si>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</si>
  <si>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</si>
  <si>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</si>
  <si>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</si>
  <si>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</si>
  <si>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</si>
  <si>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</si>
  <si>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</si>
  <si>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</si>
  <si>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</si>
  <si>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</si>
  <si>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</si>
  <si>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</si>
  <si>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</si>
  <si>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</si>
  <si>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</si>
  <si>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</si>
  <si>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</si>
  <si>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</si>
  <si>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</si>
  <si>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</si>
  <si>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</si>
  <si>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</si>
  <si>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</si>
  <si>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</si>
  <si>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</si>
  <si>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</si>
  <si>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</si>
  <si>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</si>
  <si>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</si>
  <si>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</si>
  <si>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</si>
  <si>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</si>
  <si>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</si>
  <si>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</si>
  <si>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</si>
  <si>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</si>
  <si>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</si>
  <si>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</si>
  <si>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</si>
  <si>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</si>
  <si>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</si>
  <si>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</si>
  <si>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</si>
  <si>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</si>
  <si>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</si>
  <si>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</si>
  <si>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</si>
  <si>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</si>
  <si>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</si>
  <si>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</si>
  <si>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</si>
  <si>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</si>
  <si>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</si>
  <si>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</si>
  <si>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</si>
  <si>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</si>
  <si>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</si>
  <si>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</si>
  <si>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06.07.17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</si>
</sst>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226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218</v>
      </c>
      <c r="O3" s="331" t="s">
        <v>220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219</v>
      </c>
      <c r="F4" s="314" t="s">
        <v>33</v>
      </c>
      <c r="G4" s="305" t="s">
        <v>221</v>
      </c>
      <c r="H4" s="316" t="s">
        <v>222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227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225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625274.1699999999</v>
      </c>
      <c r="G8" s="151">
        <f aca="true" t="shared" si="0" ref="G8:G40">F8-E8</f>
        <v>-102066.03000000003</v>
      </c>
      <c r="H8" s="152">
        <f>F8/E8*100</f>
        <v>85.96722276590789</v>
      </c>
      <c r="I8" s="153">
        <f>F8-D8</f>
        <v>-673176.9300000002</v>
      </c>
      <c r="J8" s="153">
        <f>F8/D8*100</f>
        <v>48.155388370035645</v>
      </c>
      <c r="K8" s="151">
        <v>543806.97</v>
      </c>
      <c r="L8" s="151">
        <f aca="true" t="shared" si="1" ref="L8:L54">F8-K8</f>
        <v>81467.19999999995</v>
      </c>
      <c r="M8" s="205">
        <f aca="true" t="shared" si="2" ref="M8:M31">F8/K8</f>
        <v>1.1498090397774783</v>
      </c>
      <c r="N8" s="151">
        <f>N9+N15+N18+N19+N23+N17</f>
        <v>118464.60000000003</v>
      </c>
      <c r="O8" s="151">
        <f>O9+O15+O18+O19+O23+O17</f>
        <v>15804.049999999996</v>
      </c>
      <c r="P8" s="151">
        <f>O8-N8</f>
        <v>-102660.55000000005</v>
      </c>
      <c r="Q8" s="151">
        <f>O8/N8*100</f>
        <v>13.340736388760854</v>
      </c>
      <c r="R8" s="15">
        <f>R9+R15+R18+R19+R23</f>
        <v>102514</v>
      </c>
      <c r="S8" s="15">
        <f>O8-R8</f>
        <v>-86709.95000000001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362425.45</v>
      </c>
      <c r="G9" s="150">
        <f t="shared" si="0"/>
        <v>-54114.54999999999</v>
      </c>
      <c r="H9" s="157">
        <f>F9/E9*100</f>
        <v>87.00855860181495</v>
      </c>
      <c r="I9" s="158">
        <f>F9-D9</f>
        <v>-404219.55</v>
      </c>
      <c r="J9" s="158">
        <f>F9/D9*100</f>
        <v>47.27422079319633</v>
      </c>
      <c r="K9" s="227">
        <v>295409.71</v>
      </c>
      <c r="L9" s="159">
        <f t="shared" si="1"/>
        <v>67015.73999999999</v>
      </c>
      <c r="M9" s="206">
        <f t="shared" si="2"/>
        <v>1.2268569303290673</v>
      </c>
      <c r="N9" s="157">
        <f>E9-червень!E9</f>
        <v>67300</v>
      </c>
      <c r="O9" s="160">
        <f>F9-червень!F9</f>
        <v>10883.070000000007</v>
      </c>
      <c r="P9" s="161">
        <f>O9-N9</f>
        <v>-56416.92999999999</v>
      </c>
      <c r="Q9" s="158">
        <f>O9/N9*100</f>
        <v>16.1709806835067</v>
      </c>
      <c r="R9" s="100">
        <v>71000</v>
      </c>
      <c r="S9" s="100">
        <f>O9-R9</f>
        <v>-60116.92999999999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332780.25</v>
      </c>
      <c r="G10" s="103">
        <f t="shared" si="0"/>
        <v>-45827.75</v>
      </c>
      <c r="H10" s="30">
        <f aca="true" t="shared" si="3" ref="H10:H39">F10/E10*100</f>
        <v>87.895725922326</v>
      </c>
      <c r="I10" s="104">
        <f aca="true" t="shared" si="4" ref="I10:I40">F10-D10</f>
        <v>-368536.75</v>
      </c>
      <c r="J10" s="104">
        <f aca="true" t="shared" si="5" ref="J10:J39">F10/D10*100</f>
        <v>47.450760497749236</v>
      </c>
      <c r="K10" s="106">
        <v>259105.9</v>
      </c>
      <c r="L10" s="106">
        <f t="shared" si="1"/>
        <v>73674.35</v>
      </c>
      <c r="M10" s="207">
        <f t="shared" si="2"/>
        <v>1.2843406884984094</v>
      </c>
      <c r="N10" s="105">
        <f>E10-червень!E10</f>
        <v>60544</v>
      </c>
      <c r="O10" s="144">
        <f>F10-червень!F10</f>
        <v>10235.48999999999</v>
      </c>
      <c r="P10" s="106">
        <f aca="true" t="shared" si="6" ref="P10:P40">O10-N10</f>
        <v>-50308.51000000001</v>
      </c>
      <c r="Q10" s="104">
        <f aca="true" t="shared" si="7" ref="Q10:Q27">O10/N10*100</f>
        <v>16.905870110993643</v>
      </c>
      <c r="R10" s="37"/>
      <c r="S10" s="100">
        <f aca="true" t="shared" si="8" ref="S10:S35">O10-R10</f>
        <v>10235.48999999999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19119.95</v>
      </c>
      <c r="G11" s="103">
        <f t="shared" si="0"/>
        <v>-7160.049999999999</v>
      </c>
      <c r="H11" s="30">
        <f t="shared" si="3"/>
        <v>72.75475646879757</v>
      </c>
      <c r="I11" s="104">
        <f t="shared" si="4"/>
        <v>-27386.05</v>
      </c>
      <c r="J11" s="104">
        <f t="shared" si="5"/>
        <v>41.112867156925994</v>
      </c>
      <c r="K11" s="106">
        <v>21586.03</v>
      </c>
      <c r="L11" s="106">
        <f t="shared" si="1"/>
        <v>-2466.079999999998</v>
      </c>
      <c r="M11" s="207">
        <f t="shared" si="2"/>
        <v>0.8857557410973672</v>
      </c>
      <c r="N11" s="105">
        <f>E11-червень!E11</f>
        <v>4080</v>
      </c>
      <c r="O11" s="144">
        <f>F11-червень!F11</f>
        <v>34.06000000000131</v>
      </c>
      <c r="P11" s="106">
        <f t="shared" si="6"/>
        <v>-4045.9399999999987</v>
      </c>
      <c r="Q11" s="104">
        <f t="shared" si="7"/>
        <v>0.8348039215686596</v>
      </c>
      <c r="R11" s="37"/>
      <c r="S11" s="100">
        <f t="shared" si="8"/>
        <v>34.06000000000131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4718.73</v>
      </c>
      <c r="G12" s="103">
        <f t="shared" si="0"/>
        <v>278.72999999999956</v>
      </c>
      <c r="H12" s="30">
        <f t="shared" si="3"/>
        <v>106.2777027027027</v>
      </c>
      <c r="I12" s="104">
        <f t="shared" si="4"/>
        <v>-3561.2700000000004</v>
      </c>
      <c r="J12" s="104">
        <f t="shared" si="5"/>
        <v>56.98949275362318</v>
      </c>
      <c r="K12" s="106">
        <v>5837.44</v>
      </c>
      <c r="L12" s="106">
        <f t="shared" si="1"/>
        <v>-1118.71</v>
      </c>
      <c r="M12" s="207">
        <f t="shared" si="2"/>
        <v>0.8083560601907686</v>
      </c>
      <c r="N12" s="105">
        <f>E12-червень!E12</f>
        <v>600</v>
      </c>
      <c r="O12" s="144">
        <f>F12-червень!F12</f>
        <v>205.69999999999982</v>
      </c>
      <c r="P12" s="106">
        <f t="shared" si="6"/>
        <v>-394.3000000000002</v>
      </c>
      <c r="Q12" s="104">
        <f t="shared" si="7"/>
        <v>34.2833333333333</v>
      </c>
      <c r="R12" s="37"/>
      <c r="S12" s="100">
        <f t="shared" si="8"/>
        <v>205.69999999999982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5063.15</v>
      </c>
      <c r="G13" s="103">
        <f t="shared" si="0"/>
        <v>-1476.8500000000004</v>
      </c>
      <c r="H13" s="30">
        <f t="shared" si="3"/>
        <v>77.41819571865443</v>
      </c>
      <c r="I13" s="104">
        <f t="shared" si="4"/>
        <v>-4326.85</v>
      </c>
      <c r="J13" s="104">
        <f t="shared" si="5"/>
        <v>53.92066027689031</v>
      </c>
      <c r="K13" s="106">
        <v>6429.46</v>
      </c>
      <c r="L13" s="106">
        <f t="shared" si="1"/>
        <v>-1366.3100000000004</v>
      </c>
      <c r="M13" s="207">
        <f t="shared" si="2"/>
        <v>0.7874922621806496</v>
      </c>
      <c r="N13" s="105">
        <f>E13-червень!E13</f>
        <v>1980</v>
      </c>
      <c r="O13" s="144">
        <f>F13-червень!F13</f>
        <v>371.97999999999956</v>
      </c>
      <c r="P13" s="106">
        <f t="shared" si="6"/>
        <v>-1608.0200000000004</v>
      </c>
      <c r="Q13" s="104">
        <f t="shared" si="7"/>
        <v>18.786868686868665</v>
      </c>
      <c r="R13" s="37"/>
      <c r="S13" s="100">
        <f t="shared" si="8"/>
        <v>371.97999999999956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743.38</v>
      </c>
      <c r="G14" s="103">
        <f t="shared" si="0"/>
        <v>71.38</v>
      </c>
      <c r="H14" s="30">
        <f t="shared" si="3"/>
        <v>110.62202380952382</v>
      </c>
      <c r="I14" s="104">
        <f t="shared" si="4"/>
        <v>-408.62</v>
      </c>
      <c r="J14" s="104">
        <f t="shared" si="5"/>
        <v>64.52951388888889</v>
      </c>
      <c r="K14" s="106">
        <v>2450.88</v>
      </c>
      <c r="L14" s="106">
        <f t="shared" si="1"/>
        <v>-1707.5</v>
      </c>
      <c r="M14" s="207">
        <f t="shared" si="2"/>
        <v>0.30331146363755057</v>
      </c>
      <c r="N14" s="105">
        <f>E14-червень!E14</f>
        <v>96</v>
      </c>
      <c r="O14" s="144">
        <f>F14-червень!F14</f>
        <v>35.85000000000002</v>
      </c>
      <c r="P14" s="106">
        <f t="shared" si="6"/>
        <v>-60.14999999999998</v>
      </c>
      <c r="Q14" s="104">
        <f t="shared" si="7"/>
        <v>37.34375000000003</v>
      </c>
      <c r="R14" s="37"/>
      <c r="S14" s="100">
        <f t="shared" si="8"/>
        <v>35.85000000000002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E15-червень!E15</f>
        <v>0</v>
      </c>
      <c r="O15" s="168">
        <f>F15-червень!F15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54313.48</v>
      </c>
      <c r="G19" s="162">
        <f t="shared" si="0"/>
        <v>-16786.519999999997</v>
      </c>
      <c r="H19" s="164">
        <f t="shared" si="3"/>
        <v>76.39026722925458</v>
      </c>
      <c r="I19" s="165">
        <f t="shared" si="4"/>
        <v>-75686.51999999999</v>
      </c>
      <c r="J19" s="165">
        <f t="shared" si="5"/>
        <v>41.7796</v>
      </c>
      <c r="K19" s="161">
        <v>54291.2</v>
      </c>
      <c r="L19" s="167">
        <f t="shared" si="1"/>
        <v>22.280000000006112</v>
      </c>
      <c r="M19" s="213">
        <f t="shared" si="2"/>
        <v>1.0004103795826949</v>
      </c>
      <c r="N19" s="164">
        <f>E19-червень!E19</f>
        <v>11500</v>
      </c>
      <c r="O19" s="168">
        <f>F19-червень!F19</f>
        <v>353.3700000000026</v>
      </c>
      <c r="P19" s="167">
        <f t="shared" si="6"/>
        <v>-11146.629999999997</v>
      </c>
      <c r="Q19" s="165">
        <f t="shared" si="7"/>
        <v>3.072782608695675</v>
      </c>
      <c r="R19" s="294">
        <v>8800</v>
      </c>
      <c r="S19" s="100">
        <f t="shared" si="8"/>
        <v>-8446.629999999997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31261.1</v>
      </c>
      <c r="G20" s="253">
        <f t="shared" si="0"/>
        <v>-11188.900000000001</v>
      </c>
      <c r="H20" s="195">
        <f t="shared" si="3"/>
        <v>73.64216725559481</v>
      </c>
      <c r="I20" s="254">
        <f t="shared" si="4"/>
        <v>-45238.9</v>
      </c>
      <c r="J20" s="254">
        <f t="shared" si="5"/>
        <v>40.864183006535946</v>
      </c>
      <c r="K20" s="255">
        <v>54291.2</v>
      </c>
      <c r="L20" s="166">
        <f t="shared" si="1"/>
        <v>-23030.1</v>
      </c>
      <c r="M20" s="256">
        <f t="shared" si="2"/>
        <v>0.5758041818931982</v>
      </c>
      <c r="N20" s="195">
        <f>E20-червень!E20</f>
        <v>6550</v>
      </c>
      <c r="O20" s="179">
        <f>F20-червень!F20</f>
        <v>25.840000000000146</v>
      </c>
      <c r="P20" s="166">
        <f t="shared" si="6"/>
        <v>-6524.16</v>
      </c>
      <c r="Q20" s="254">
        <f t="shared" si="7"/>
        <v>0.39450381679389535</v>
      </c>
      <c r="R20" s="104">
        <v>4450</v>
      </c>
      <c r="S20" s="104">
        <f t="shared" si="8"/>
        <v>-4424.16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208371.72999999998</v>
      </c>
      <c r="G23" s="150">
        <f t="shared" si="0"/>
        <v>-30917.47000000003</v>
      </c>
      <c r="H23" s="157">
        <f t="shared" si="3"/>
        <v>87.07945448436452</v>
      </c>
      <c r="I23" s="158">
        <f t="shared" si="4"/>
        <v>-192758.37</v>
      </c>
      <c r="J23" s="158">
        <f t="shared" si="5"/>
        <v>51.94617157874715</v>
      </c>
      <c r="K23" s="158">
        <v>193690.84</v>
      </c>
      <c r="L23" s="161">
        <f t="shared" si="1"/>
        <v>14680.889999999985</v>
      </c>
      <c r="M23" s="209">
        <f t="shared" si="2"/>
        <v>1.0757954790221365</v>
      </c>
      <c r="N23" s="157">
        <f>E23-червень!E23</f>
        <v>39664.600000000035</v>
      </c>
      <c r="O23" s="160">
        <f>F23-червень!F23</f>
        <v>4567.609999999986</v>
      </c>
      <c r="P23" s="161">
        <f t="shared" si="6"/>
        <v>-35096.99000000005</v>
      </c>
      <c r="Q23" s="158">
        <f t="shared" si="7"/>
        <v>11.515583164837114</v>
      </c>
      <c r="R23" s="288">
        <f>R24+R33+R35</f>
        <v>22714</v>
      </c>
      <c r="S23" s="294">
        <f t="shared" si="8"/>
        <v>-18146.390000000014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101022.67</v>
      </c>
      <c r="G24" s="150">
        <f t="shared" si="0"/>
        <v>-19048.229999999996</v>
      </c>
      <c r="H24" s="157">
        <f t="shared" si="3"/>
        <v>84.13584806976544</v>
      </c>
      <c r="I24" s="158">
        <f t="shared" si="4"/>
        <v>-105598.33</v>
      </c>
      <c r="J24" s="158">
        <f t="shared" si="5"/>
        <v>48.89274081530919</v>
      </c>
      <c r="K24" s="158">
        <v>105956.73</v>
      </c>
      <c r="L24" s="161">
        <f t="shared" si="1"/>
        <v>-4934.059999999998</v>
      </c>
      <c r="M24" s="209">
        <f t="shared" si="2"/>
        <v>0.9534332552542911</v>
      </c>
      <c r="N24" s="157">
        <f>E24-червень!E24</f>
        <v>21398</v>
      </c>
      <c r="O24" s="160">
        <f>F24-червень!F24</f>
        <v>1629</v>
      </c>
      <c r="P24" s="161">
        <f t="shared" si="6"/>
        <v>-19769</v>
      </c>
      <c r="Q24" s="158">
        <f t="shared" si="7"/>
        <v>7.612861015048135</v>
      </c>
      <c r="R24" s="293">
        <f>R25+R28+R29</f>
        <v>15007</v>
      </c>
      <c r="S24" s="293">
        <f t="shared" si="8"/>
        <v>-13378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11409.17</v>
      </c>
      <c r="G25" s="171">
        <f t="shared" si="0"/>
        <v>-3789.9300000000003</v>
      </c>
      <c r="H25" s="173">
        <f t="shared" si="3"/>
        <v>75.0647735721194</v>
      </c>
      <c r="I25" s="174">
        <f t="shared" si="4"/>
        <v>-11399.83</v>
      </c>
      <c r="J25" s="174">
        <f t="shared" si="5"/>
        <v>50.02047437415056</v>
      </c>
      <c r="K25" s="175">
        <v>13870.14</v>
      </c>
      <c r="L25" s="166">
        <f t="shared" si="1"/>
        <v>-2460.9699999999993</v>
      </c>
      <c r="M25" s="215">
        <f t="shared" si="2"/>
        <v>0.8225706445645106</v>
      </c>
      <c r="N25" s="195">
        <f>E25-червень!E25</f>
        <v>4810</v>
      </c>
      <c r="O25" s="179">
        <f>F25-червень!F25</f>
        <v>323.6399999999994</v>
      </c>
      <c r="P25" s="177">
        <f t="shared" si="6"/>
        <v>-4486.360000000001</v>
      </c>
      <c r="Q25" s="174">
        <f t="shared" si="7"/>
        <v>6.728482328482316</v>
      </c>
      <c r="R25" s="104">
        <v>800</v>
      </c>
      <c r="S25" s="104">
        <f t="shared" si="8"/>
        <v>-476.3600000000006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225.86</v>
      </c>
      <c r="G26" s="198">
        <f t="shared" si="0"/>
        <v>-934.14</v>
      </c>
      <c r="H26" s="199">
        <f t="shared" si="3"/>
        <v>19.470689655172414</v>
      </c>
      <c r="I26" s="200">
        <f t="shared" si="4"/>
        <v>-1596.44</v>
      </c>
      <c r="J26" s="200">
        <f t="shared" si="5"/>
        <v>12.3942270756736</v>
      </c>
      <c r="K26" s="200">
        <v>537.83</v>
      </c>
      <c r="L26" s="200">
        <f t="shared" si="1"/>
        <v>-311.97</v>
      </c>
      <c r="M26" s="228">
        <f t="shared" si="2"/>
        <v>0.41994682334566685</v>
      </c>
      <c r="N26" s="237">
        <f>E26-червень!E26</f>
        <v>450</v>
      </c>
      <c r="O26" s="237">
        <f>F26-червень!F26</f>
        <v>12.600000000000023</v>
      </c>
      <c r="P26" s="200">
        <f t="shared" si="6"/>
        <v>-437.4</v>
      </c>
      <c r="Q26" s="200">
        <f t="shared" si="7"/>
        <v>2.8000000000000047</v>
      </c>
      <c r="R26" s="104"/>
      <c r="S26" s="104">
        <f t="shared" si="8"/>
        <v>12.600000000000023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11183.32</v>
      </c>
      <c r="G27" s="198">
        <f t="shared" si="0"/>
        <v>-2855.7800000000007</v>
      </c>
      <c r="H27" s="199">
        <f t="shared" si="3"/>
        <v>79.65838265985711</v>
      </c>
      <c r="I27" s="200">
        <f t="shared" si="4"/>
        <v>-9803.380000000001</v>
      </c>
      <c r="J27" s="200">
        <f t="shared" si="5"/>
        <v>53.28765360919058</v>
      </c>
      <c r="K27" s="200">
        <v>13332.31</v>
      </c>
      <c r="L27" s="200">
        <f t="shared" si="1"/>
        <v>-2148.99</v>
      </c>
      <c r="M27" s="228">
        <f t="shared" si="2"/>
        <v>0.8388133789268326</v>
      </c>
      <c r="N27" s="237">
        <f>E27-червень!E27</f>
        <v>4360</v>
      </c>
      <c r="O27" s="237">
        <f>F27-червень!F27</f>
        <v>311.0599999999995</v>
      </c>
      <c r="P27" s="200">
        <f t="shared" si="6"/>
        <v>-4048.9400000000005</v>
      </c>
      <c r="Q27" s="200">
        <f t="shared" si="7"/>
        <v>7.134403669724759</v>
      </c>
      <c r="R27" s="104"/>
      <c r="S27" s="104">
        <f t="shared" si="8"/>
        <v>311.0599999999995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-78.81</v>
      </c>
      <c r="G28" s="171">
        <f t="shared" si="0"/>
        <v>-335.61</v>
      </c>
      <c r="H28" s="173">
        <f t="shared" si="3"/>
        <v>-30.689252336448597</v>
      </c>
      <c r="I28" s="174">
        <f t="shared" si="4"/>
        <v>-898.81</v>
      </c>
      <c r="J28" s="174">
        <f t="shared" si="5"/>
        <v>-9.610975609756098</v>
      </c>
      <c r="K28" s="174">
        <v>478.8</v>
      </c>
      <c r="L28" s="174">
        <f t="shared" si="1"/>
        <v>-557.61</v>
      </c>
      <c r="M28" s="212">
        <f t="shared" si="2"/>
        <v>-0.16459899749373433</v>
      </c>
      <c r="N28" s="195">
        <f>E28-червень!E28</f>
        <v>123</v>
      </c>
      <c r="O28" s="179">
        <f>F28-червень!F28</f>
        <v>10.420000000000002</v>
      </c>
      <c r="P28" s="177">
        <f t="shared" si="6"/>
        <v>-112.58</v>
      </c>
      <c r="Q28" s="174">
        <f>O28/N28*100</f>
        <v>8.471544715447155</v>
      </c>
      <c r="R28" s="104">
        <v>-25</v>
      </c>
      <c r="S28" s="104">
        <f t="shared" si="8"/>
        <v>35.42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89692.31</v>
      </c>
      <c r="G29" s="171">
        <f t="shared" si="0"/>
        <v>-14922.690000000002</v>
      </c>
      <c r="H29" s="173">
        <f t="shared" si="3"/>
        <v>85.73561152798355</v>
      </c>
      <c r="I29" s="174">
        <f t="shared" si="4"/>
        <v>-93299.69</v>
      </c>
      <c r="J29" s="174">
        <f t="shared" si="5"/>
        <v>49.014333959954534</v>
      </c>
      <c r="K29" s="175">
        <v>91607.79</v>
      </c>
      <c r="L29" s="175">
        <f t="shared" si="1"/>
        <v>-1915.479999999996</v>
      </c>
      <c r="M29" s="211">
        <f t="shared" si="2"/>
        <v>0.9790904245152078</v>
      </c>
      <c r="N29" s="195">
        <f>E29-червень!E29</f>
        <v>16465</v>
      </c>
      <c r="O29" s="179">
        <f>F29-червень!F29</f>
        <v>1294.9400000000023</v>
      </c>
      <c r="P29" s="177">
        <f t="shared" si="6"/>
        <v>-15170.059999999998</v>
      </c>
      <c r="Q29" s="174">
        <f>O29/N29*100</f>
        <v>7.864804129972683</v>
      </c>
      <c r="R29" s="104">
        <v>14232</v>
      </c>
      <c r="S29" s="104">
        <f t="shared" si="8"/>
        <v>-12937.059999999998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31101.63</v>
      </c>
      <c r="G30" s="198">
        <f t="shared" si="0"/>
        <v>-1613.369999999999</v>
      </c>
      <c r="H30" s="199">
        <f t="shared" si="3"/>
        <v>95.06840898670335</v>
      </c>
      <c r="I30" s="200">
        <f t="shared" si="4"/>
        <v>-26431.37</v>
      </c>
      <c r="J30" s="200">
        <f t="shared" si="5"/>
        <v>54.058766273269256</v>
      </c>
      <c r="K30" s="200">
        <v>29285.76</v>
      </c>
      <c r="L30" s="200">
        <f t="shared" si="1"/>
        <v>1815.8700000000026</v>
      </c>
      <c r="M30" s="228">
        <f t="shared" si="2"/>
        <v>1.0620052202845343</v>
      </c>
      <c r="N30" s="237">
        <f>E30-червень!E30</f>
        <v>5935</v>
      </c>
      <c r="O30" s="237">
        <f>F30-червень!F30</f>
        <v>443.6800000000003</v>
      </c>
      <c r="P30" s="200">
        <f t="shared" si="6"/>
        <v>-5491.32</v>
      </c>
      <c r="Q30" s="200">
        <f>O30/N30*100</f>
        <v>7.475652906486947</v>
      </c>
      <c r="R30" s="107"/>
      <c r="S30" s="100">
        <f t="shared" si="8"/>
        <v>443.6800000000003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58590.67</v>
      </c>
      <c r="G31" s="198">
        <f t="shared" si="0"/>
        <v>-13309.330000000002</v>
      </c>
      <c r="H31" s="199">
        <f t="shared" si="3"/>
        <v>81.48910987482616</v>
      </c>
      <c r="I31" s="200">
        <f t="shared" si="4"/>
        <v>-66868.33</v>
      </c>
      <c r="J31" s="200">
        <f t="shared" si="5"/>
        <v>46.701049745335126</v>
      </c>
      <c r="K31" s="200">
        <v>62322.03</v>
      </c>
      <c r="L31" s="200">
        <f t="shared" si="1"/>
        <v>-3731.3600000000006</v>
      </c>
      <c r="M31" s="228">
        <f t="shared" si="2"/>
        <v>0.940127752578021</v>
      </c>
      <c r="N31" s="237">
        <f>E31-червень!E31</f>
        <v>10530</v>
      </c>
      <c r="O31" s="237">
        <f>F31-червень!F31</f>
        <v>851.25</v>
      </c>
      <c r="P31" s="200">
        <f t="shared" si="6"/>
        <v>-9678.75</v>
      </c>
      <c r="Q31" s="200">
        <f>O31/N31*100</f>
        <v>8.084045584045583</v>
      </c>
      <c r="R31" s="107"/>
      <c r="S31" s="100">
        <f t="shared" si="8"/>
        <v>851.25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79.23</v>
      </c>
      <c r="G33" s="150">
        <f t="shared" si="0"/>
        <v>23.630000000000003</v>
      </c>
      <c r="H33" s="157">
        <f t="shared" si="3"/>
        <v>142.5</v>
      </c>
      <c r="I33" s="158">
        <f t="shared" si="4"/>
        <v>-35.769999999999996</v>
      </c>
      <c r="J33" s="158">
        <f t="shared" si="5"/>
        <v>68.89565217391305</v>
      </c>
      <c r="K33" s="158">
        <v>65.62</v>
      </c>
      <c r="L33" s="158">
        <f t="shared" si="1"/>
        <v>13.61</v>
      </c>
      <c r="M33" s="210">
        <f>F33/K33</f>
        <v>1.2074062785736055</v>
      </c>
      <c r="N33" s="157">
        <f>E33-червень!E33</f>
        <v>9.600000000000001</v>
      </c>
      <c r="O33" s="160">
        <f>F33-червень!F33</f>
        <v>0</v>
      </c>
      <c r="P33" s="161">
        <f t="shared" si="6"/>
        <v>-9.600000000000001</v>
      </c>
      <c r="Q33" s="158">
        <f>O33/N33*100</f>
        <v>0</v>
      </c>
      <c r="R33" s="293">
        <v>7</v>
      </c>
      <c r="S33" s="293">
        <f t="shared" si="8"/>
        <v>-7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-31.23</v>
      </c>
      <c r="G34" s="150">
        <f t="shared" si="0"/>
        <v>-31.23</v>
      </c>
      <c r="H34" s="157"/>
      <c r="I34" s="158">
        <f t="shared" si="4"/>
        <v>-31.23</v>
      </c>
      <c r="J34" s="158"/>
      <c r="K34" s="158">
        <v>-138.73</v>
      </c>
      <c r="L34" s="158">
        <f t="shared" si="1"/>
        <v>107.49999999999999</v>
      </c>
      <c r="M34" s="210">
        <f>F34/K34</f>
        <v>0.22511352987818065</v>
      </c>
      <c r="N34" s="157">
        <f>E34-червень!E34</f>
        <v>0</v>
      </c>
      <c r="O34" s="160">
        <f>F34-червень!F34</f>
        <v>0.08999999999999986</v>
      </c>
      <c r="P34" s="161">
        <f t="shared" si="6"/>
        <v>0.08999999999999986</v>
      </c>
      <c r="Q34" s="158"/>
      <c r="R34" s="293"/>
      <c r="S34" s="293">
        <f t="shared" si="8"/>
        <v>0.08999999999999986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107300.86</v>
      </c>
      <c r="G35" s="162">
        <f t="shared" si="0"/>
        <v>-11861.839999999997</v>
      </c>
      <c r="H35" s="164">
        <f t="shared" si="3"/>
        <v>90.04567704491423</v>
      </c>
      <c r="I35" s="165">
        <f t="shared" si="4"/>
        <v>-87093.24</v>
      </c>
      <c r="J35" s="165">
        <f t="shared" si="5"/>
        <v>55.19759087338556</v>
      </c>
      <c r="K35" s="178">
        <v>87807.07</v>
      </c>
      <c r="L35" s="178">
        <f>F35-K35</f>
        <v>19493.789999999994</v>
      </c>
      <c r="M35" s="226">
        <f>F35/K35</f>
        <v>1.2220070661736007</v>
      </c>
      <c r="N35" s="157">
        <f>E35-червень!E35</f>
        <v>18257</v>
      </c>
      <c r="O35" s="160">
        <f>F35-червень!F35</f>
        <v>2938.520000000004</v>
      </c>
      <c r="P35" s="167">
        <f t="shared" si="6"/>
        <v>-15318.479999999996</v>
      </c>
      <c r="Q35" s="165">
        <f>O35/N35*100</f>
        <v>16.095305910061917</v>
      </c>
      <c r="R35" s="293">
        <v>7700</v>
      </c>
      <c r="S35" s="293">
        <f t="shared" si="8"/>
        <v>-4761.479999999996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20674.23</v>
      </c>
      <c r="G37" s="103">
        <f t="shared" si="0"/>
        <v>-2595.7700000000004</v>
      </c>
      <c r="H37" s="105">
        <f t="shared" si="3"/>
        <v>88.8449935539321</v>
      </c>
      <c r="I37" s="104">
        <f t="shared" si="4"/>
        <v>-20325.77</v>
      </c>
      <c r="J37" s="104">
        <f t="shared" si="5"/>
        <v>50.424951219512195</v>
      </c>
      <c r="K37" s="127">
        <v>21754.51</v>
      </c>
      <c r="L37" s="127">
        <f t="shared" si="1"/>
        <v>-1080.2799999999988</v>
      </c>
      <c r="M37" s="216">
        <f t="shared" si="9"/>
        <v>0.9503422508711987</v>
      </c>
      <c r="N37" s="105">
        <f>E37-червень!E37</f>
        <v>3250</v>
      </c>
      <c r="O37" s="144">
        <f>F37-червень!F37</f>
        <v>386.16999999999825</v>
      </c>
      <c r="P37" s="106">
        <f t="shared" si="6"/>
        <v>-2863.8300000000017</v>
      </c>
      <c r="Q37" s="104">
        <f>O37/N37*100</f>
        <v>11.882153846153793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86603.12</v>
      </c>
      <c r="G38" s="103">
        <f t="shared" si="0"/>
        <v>-9256.880000000005</v>
      </c>
      <c r="H38" s="105">
        <f t="shared" si="3"/>
        <v>90.34333402879199</v>
      </c>
      <c r="I38" s="104">
        <f t="shared" si="4"/>
        <v>-66735.98000000001</v>
      </c>
      <c r="J38" s="104">
        <f t="shared" si="5"/>
        <v>56.4781715818079</v>
      </c>
      <c r="K38" s="127">
        <v>66031.82</v>
      </c>
      <c r="L38" s="127">
        <f t="shared" si="1"/>
        <v>20571.29999999999</v>
      </c>
      <c r="M38" s="216">
        <f t="shared" si="9"/>
        <v>1.3115361654426607</v>
      </c>
      <c r="N38" s="105">
        <f>E38-червень!E38</f>
        <v>15000</v>
      </c>
      <c r="O38" s="144">
        <f>F38-червень!F38</f>
        <v>2552.3499999999913</v>
      </c>
      <c r="P38" s="106">
        <f t="shared" si="6"/>
        <v>-12447.650000000009</v>
      </c>
      <c r="Q38" s="104">
        <f>O38/N38*100</f>
        <v>17.01566666666661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23.5</v>
      </c>
      <c r="G39" s="103">
        <f t="shared" si="0"/>
        <v>-9.200000000000003</v>
      </c>
      <c r="H39" s="105">
        <f t="shared" si="3"/>
        <v>71.86544342507645</v>
      </c>
      <c r="I39" s="104">
        <f t="shared" si="4"/>
        <v>-31.5</v>
      </c>
      <c r="J39" s="104">
        <f t="shared" si="5"/>
        <v>42.72727272727273</v>
      </c>
      <c r="K39" s="127">
        <v>20.52</v>
      </c>
      <c r="L39" s="127">
        <f t="shared" si="1"/>
        <v>2.9800000000000004</v>
      </c>
      <c r="M39" s="216">
        <f t="shared" si="9"/>
        <v>1.1452241715399611</v>
      </c>
      <c r="N39" s="105">
        <f>E39-червень!E39</f>
        <v>7.0000000000000036</v>
      </c>
      <c r="O39" s="144">
        <f>F39-червень!F39</f>
        <v>0</v>
      </c>
      <c r="P39" s="106">
        <f t="shared" si="6"/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37775.229999999996</v>
      </c>
      <c r="G41" s="287">
        <f>G42+G43+G44+G45+G46+G48+G50+G51+G52+G53+G54+G59+G60+G64+G47+G49</f>
        <v>2581.529999999998</v>
      </c>
      <c r="H41" s="152">
        <f>F41/E41*100</f>
        <v>107.33520488041894</v>
      </c>
      <c r="I41" s="153">
        <f>F41-D41</f>
        <v>-21249.770000000004</v>
      </c>
      <c r="J41" s="153">
        <f>F41/D41*100</f>
        <v>63.998695468022014</v>
      </c>
      <c r="K41" s="151">
        <v>36786.28</v>
      </c>
      <c r="L41" s="151">
        <f t="shared" si="1"/>
        <v>988.9499999999971</v>
      </c>
      <c r="M41" s="205">
        <f t="shared" si="9"/>
        <v>1.0268836642356878</v>
      </c>
      <c r="N41" s="151">
        <f>N42+N43+N44+N45+N46+N48+N50+N51+N52+N53+N54+N59+N60+N64+N47+N49</f>
        <v>5277.6</v>
      </c>
      <c r="O41" s="151">
        <f>O42+O43+O44+O45+O46+O48+O50+O51+O52+O53+O54+O59+O60+O64+O47+O49</f>
        <v>3716.7699999999995</v>
      </c>
      <c r="P41" s="151">
        <f>P42+P43+P44+P45+P46+P48+P50+P51+P52+P53+P54+P59+P60+P64</f>
        <v>-1554.9800000000002</v>
      </c>
      <c r="Q41" s="151">
        <f>O41/N41*100</f>
        <v>70.42538274973471</v>
      </c>
      <c r="R41" s="15">
        <f>R42+R43+R44+R45+R46+R47+R48+R50+R51+R52+R53+R54+R59+R60+R64</f>
        <v>5598.5</v>
      </c>
      <c r="S41" s="15">
        <f>O41-R41</f>
        <v>-1881.7300000000005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241.39</v>
      </c>
      <c r="L42" s="165">
        <f t="shared" si="1"/>
        <v>1963.38</v>
      </c>
      <c r="M42" s="218">
        <f t="shared" si="9"/>
        <v>9.133642652968225</v>
      </c>
      <c r="N42" s="164">
        <f>E42-червень!E42</f>
        <v>0</v>
      </c>
      <c r="O42" s="168">
        <f>F42-червень!F42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17271.02</v>
      </c>
      <c r="L43" s="165">
        <f t="shared" si="1"/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102.8</v>
      </c>
      <c r="G44" s="162">
        <f t="shared" si="12"/>
        <v>79.8</v>
      </c>
      <c r="H44" s="164">
        <f>F44/E44*100</f>
        <v>446.95652173913044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E44-червень!E44</f>
        <v>1</v>
      </c>
      <c r="O44" s="168">
        <f>F44-червень!F44</f>
        <v>0</v>
      </c>
      <c r="P44" s="167">
        <f t="shared" si="14"/>
        <v>-1</v>
      </c>
      <c r="Q44" s="165">
        <f t="shared" si="11"/>
        <v>0</v>
      </c>
      <c r="R44" s="37">
        <v>10</v>
      </c>
      <c r="S44" s="37">
        <f t="shared" si="15"/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E45-червень!E45</f>
        <v>0</v>
      </c>
      <c r="O45" s="168">
        <f>F45-червень!F45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536.1</v>
      </c>
      <c r="G46" s="162">
        <f t="shared" si="12"/>
        <v>386.1</v>
      </c>
      <c r="H46" s="164">
        <f t="shared" si="10"/>
        <v>357.40000000000003</v>
      </c>
      <c r="I46" s="165">
        <f t="shared" si="13"/>
        <v>276.1</v>
      </c>
      <c r="J46" s="165">
        <f t="shared" si="16"/>
        <v>206.1923076923077</v>
      </c>
      <c r="K46" s="165">
        <v>187.96</v>
      </c>
      <c r="L46" s="165">
        <f t="shared" si="1"/>
        <v>348.14</v>
      </c>
      <c r="M46" s="218">
        <f t="shared" si="17"/>
        <v>2.8522025962970843</v>
      </c>
      <c r="N46" s="164">
        <f>E46-червень!E46</f>
        <v>22</v>
      </c>
      <c r="O46" s="168">
        <f>F46-червень!F46</f>
        <v>34.57000000000005</v>
      </c>
      <c r="P46" s="167">
        <f t="shared" si="14"/>
        <v>12.57000000000005</v>
      </c>
      <c r="Q46" s="165">
        <f t="shared" si="11"/>
        <v>157.13636363636388</v>
      </c>
      <c r="R46" s="37">
        <v>70</v>
      </c>
      <c r="S46" s="37">
        <f t="shared" si="15"/>
        <v>-35.42999999999995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71.01</v>
      </c>
      <c r="G47" s="162">
        <f t="shared" si="12"/>
        <v>9.810000000000002</v>
      </c>
      <c r="H47" s="164">
        <f t="shared" si="10"/>
        <v>116.0294117647059</v>
      </c>
      <c r="I47" s="165">
        <f t="shared" si="13"/>
        <v>-26.489999999999995</v>
      </c>
      <c r="J47" s="165">
        <f t="shared" si="16"/>
        <v>72.83076923076923</v>
      </c>
      <c r="K47" s="165">
        <v>27.48</v>
      </c>
      <c r="L47" s="165">
        <f t="shared" si="1"/>
        <v>43.53</v>
      </c>
      <c r="M47" s="218"/>
      <c r="N47" s="164">
        <f>E47-червень!E47</f>
        <v>13.600000000000001</v>
      </c>
      <c r="O47" s="168">
        <f>F47-червень!F47</f>
        <v>0</v>
      </c>
      <c r="P47" s="167">
        <f t="shared" si="14"/>
        <v>-13.600000000000001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652.52</v>
      </c>
      <c r="G48" s="162">
        <f t="shared" si="12"/>
        <v>132.51999999999998</v>
      </c>
      <c r="H48" s="164">
        <f t="shared" si="10"/>
        <v>125.48461538461537</v>
      </c>
      <c r="I48" s="165">
        <f t="shared" si="13"/>
        <v>-77.48000000000002</v>
      </c>
      <c r="J48" s="165">
        <f t="shared" si="16"/>
        <v>89.386301369863</v>
      </c>
      <c r="K48" s="165">
        <v>248.37</v>
      </c>
      <c r="L48" s="165">
        <f t="shared" si="1"/>
        <v>404.15</v>
      </c>
      <c r="M48" s="218"/>
      <c r="N48" s="164">
        <f>E48-червень!E48</f>
        <v>60</v>
      </c>
      <c r="O48" s="168">
        <f>F48-червень!F48</f>
        <v>23.600000000000023</v>
      </c>
      <c r="P48" s="167">
        <f t="shared" si="14"/>
        <v>-36.39999999999998</v>
      </c>
      <c r="Q48" s="165">
        <f t="shared" si="11"/>
        <v>39.33333333333337</v>
      </c>
      <c r="R48" s="37">
        <v>100</v>
      </c>
      <c r="S48" s="37">
        <f t="shared" si="15"/>
        <v>-76.39999999999998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8.44</v>
      </c>
      <c r="G49" s="162">
        <f t="shared" si="12"/>
        <v>8.44</v>
      </c>
      <c r="H49" s="164"/>
      <c r="I49" s="165">
        <f t="shared" si="13"/>
        <v>8.44</v>
      </c>
      <c r="J49" s="165"/>
      <c r="K49" s="165"/>
      <c r="L49" s="165">
        <f t="shared" si="1"/>
        <v>8.44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7.75</v>
      </c>
      <c r="P49" s="167"/>
      <c r="Q49" s="165"/>
      <c r="R49" s="37"/>
      <c r="S49" s="37">
        <f t="shared" si="15"/>
        <v>7.75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8828.89</v>
      </c>
      <c r="G50" s="162">
        <f t="shared" si="12"/>
        <v>1788.8899999999994</v>
      </c>
      <c r="H50" s="164">
        <f t="shared" si="10"/>
        <v>125.41036931818181</v>
      </c>
      <c r="I50" s="165">
        <f t="shared" si="13"/>
        <v>-2171.1100000000006</v>
      </c>
      <c r="J50" s="165">
        <f t="shared" si="16"/>
        <v>80.26263636363636</v>
      </c>
      <c r="K50" s="165">
        <v>6090.63</v>
      </c>
      <c r="L50" s="165">
        <f t="shared" si="1"/>
        <v>2738.2599999999993</v>
      </c>
      <c r="M50" s="218">
        <f t="shared" si="17"/>
        <v>1.4495856750451102</v>
      </c>
      <c r="N50" s="164">
        <f>E50-червень!E50</f>
        <v>1000</v>
      </c>
      <c r="O50" s="168">
        <f>F50-червень!F50</f>
        <v>464.5799999999999</v>
      </c>
      <c r="P50" s="167">
        <f t="shared" si="14"/>
        <v>-535.4200000000001</v>
      </c>
      <c r="Q50" s="165">
        <f t="shared" si="11"/>
        <v>46.45799999999999</v>
      </c>
      <c r="R50" s="37">
        <v>1400</v>
      </c>
      <c r="S50" s="37">
        <f t="shared" si="15"/>
        <v>-935.4200000000001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270.75</v>
      </c>
      <c r="G51" s="162">
        <f t="shared" si="12"/>
        <v>95.75</v>
      </c>
      <c r="H51" s="164">
        <f t="shared" si="10"/>
        <v>154.71428571428572</v>
      </c>
      <c r="I51" s="165">
        <f t="shared" si="13"/>
        <v>-39.25</v>
      </c>
      <c r="J51" s="165">
        <f t="shared" si="16"/>
        <v>87.33870967741936</v>
      </c>
      <c r="K51" s="165">
        <v>117.39</v>
      </c>
      <c r="L51" s="165">
        <f t="shared" si="1"/>
        <v>153.36</v>
      </c>
      <c r="M51" s="218"/>
      <c r="N51" s="164">
        <f>E51-червень!E51</f>
        <v>25</v>
      </c>
      <c r="O51" s="168">
        <f>F51-червень!F51</f>
        <v>7.939999999999998</v>
      </c>
      <c r="P51" s="167">
        <f t="shared" si="14"/>
        <v>-17.060000000000002</v>
      </c>
      <c r="Q51" s="165">
        <f t="shared" si="11"/>
        <v>31.759999999999987</v>
      </c>
      <c r="R51" s="37">
        <v>40</v>
      </c>
      <c r="S51" s="37">
        <f t="shared" si="15"/>
        <v>-32.06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3778.99</v>
      </c>
      <c r="G53" s="162">
        <f t="shared" si="12"/>
        <v>-471.0100000000002</v>
      </c>
      <c r="H53" s="164">
        <f t="shared" si="10"/>
        <v>88.91741176470588</v>
      </c>
      <c r="I53" s="165">
        <f t="shared" si="13"/>
        <v>-3496.01</v>
      </c>
      <c r="J53" s="165">
        <f t="shared" si="16"/>
        <v>51.94487972508591</v>
      </c>
      <c r="K53" s="165">
        <v>4498</v>
      </c>
      <c r="L53" s="165">
        <f t="shared" si="1"/>
        <v>-719.0100000000002</v>
      </c>
      <c r="M53" s="218">
        <f t="shared" si="17"/>
        <v>0.8401489550911516</v>
      </c>
      <c r="N53" s="164">
        <f>E53-червень!E53</f>
        <v>605</v>
      </c>
      <c r="O53" s="168">
        <f>F53-червень!F53</f>
        <v>511.6399999999999</v>
      </c>
      <c r="P53" s="167">
        <f t="shared" si="14"/>
        <v>-93.36000000000013</v>
      </c>
      <c r="Q53" s="165">
        <f t="shared" si="11"/>
        <v>84.5685950413223</v>
      </c>
      <c r="R53" s="37">
        <v>550</v>
      </c>
      <c r="S53" s="37">
        <f t="shared" si="15"/>
        <v>-38.36000000000013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398.75</v>
      </c>
      <c r="G54" s="162">
        <f t="shared" si="12"/>
        <v>-291.25</v>
      </c>
      <c r="H54" s="164">
        <f t="shared" si="10"/>
        <v>57.789855072463766</v>
      </c>
      <c r="I54" s="165">
        <f t="shared" si="13"/>
        <v>-801.25</v>
      </c>
      <c r="J54" s="165">
        <f t="shared" si="16"/>
        <v>33.229166666666664</v>
      </c>
      <c r="K54" s="165">
        <v>3724.79</v>
      </c>
      <c r="L54" s="165">
        <f t="shared" si="1"/>
        <v>-3326.04</v>
      </c>
      <c r="M54" s="218">
        <f t="shared" si="17"/>
        <v>0.10705301506930592</v>
      </c>
      <c r="N54" s="164">
        <f>E54-червень!E54</f>
        <v>120</v>
      </c>
      <c r="O54" s="168">
        <f>F54-червень!F54</f>
        <v>10.329999999999984</v>
      </c>
      <c r="P54" s="167">
        <f t="shared" si="14"/>
        <v>-109.67000000000002</v>
      </c>
      <c r="Q54" s="165">
        <f t="shared" si="11"/>
        <v>8.60833333333332</v>
      </c>
      <c r="R54" s="37">
        <v>50</v>
      </c>
      <c r="S54" s="37">
        <f t="shared" si="15"/>
        <v>-39.670000000000016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340.71</v>
      </c>
      <c r="G55" s="34">
        <f t="shared" si="12"/>
        <v>-239.29000000000002</v>
      </c>
      <c r="H55" s="30">
        <f t="shared" si="10"/>
        <v>58.74310344827586</v>
      </c>
      <c r="I55" s="104">
        <f t="shared" si="13"/>
        <v>-657.29</v>
      </c>
      <c r="J55" s="104">
        <f t="shared" si="16"/>
        <v>34.139278557114224</v>
      </c>
      <c r="K55" s="104">
        <v>504.14</v>
      </c>
      <c r="L55" s="104">
        <f>F55-K55</f>
        <v>-163.43</v>
      </c>
      <c r="M55" s="109">
        <f t="shared" si="17"/>
        <v>0.6758241758241758</v>
      </c>
      <c r="N55" s="105">
        <f>E55-червень!E55</f>
        <v>100</v>
      </c>
      <c r="O55" s="144">
        <f>F55-червень!F55</f>
        <v>8.180000000000007</v>
      </c>
      <c r="P55" s="106">
        <f t="shared" si="14"/>
        <v>-91.82</v>
      </c>
      <c r="Q55" s="119">
        <f t="shared" si="11"/>
        <v>8.180000000000007</v>
      </c>
      <c r="R55" s="37"/>
      <c r="S55" s="37">
        <f t="shared" si="15"/>
        <v>8.180000000000007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0.26</v>
      </c>
      <c r="L56" s="104">
        <f>F56-K56</f>
        <v>-0.11000000000000001</v>
      </c>
      <c r="M56" s="109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57.89</v>
      </c>
      <c r="G58" s="34">
        <f t="shared" si="12"/>
        <v>-52.11</v>
      </c>
      <c r="H58" s="30">
        <f t="shared" si="10"/>
        <v>52.627272727272725</v>
      </c>
      <c r="I58" s="104">
        <f t="shared" si="13"/>
        <v>-142.11</v>
      </c>
      <c r="J58" s="104">
        <f t="shared" si="16"/>
        <v>28.945</v>
      </c>
      <c r="K58" s="104">
        <v>3220.38</v>
      </c>
      <c r="L58" s="104">
        <f>F58-K58</f>
        <v>-3162.4900000000002</v>
      </c>
      <c r="M58" s="109">
        <f t="shared" si="17"/>
        <v>0.017976139461802643</v>
      </c>
      <c r="N58" s="105">
        <f>E58-червень!E58</f>
        <v>20</v>
      </c>
      <c r="O58" s="144">
        <f>F58-червень!F58</f>
        <v>2.1499999999999986</v>
      </c>
      <c r="P58" s="106">
        <f t="shared" si="14"/>
        <v>-17.85</v>
      </c>
      <c r="Q58" s="119">
        <f t="shared" si="11"/>
        <v>10.749999999999993</v>
      </c>
      <c r="R58" s="37"/>
      <c r="S58" s="37">
        <f t="shared" si="15"/>
        <v>2.1499999999999986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4944.95</v>
      </c>
      <c r="G60" s="162">
        <f t="shared" si="12"/>
        <v>-515.0500000000002</v>
      </c>
      <c r="H60" s="164">
        <f t="shared" si="10"/>
        <v>90.56684981684981</v>
      </c>
      <c r="I60" s="165">
        <f t="shared" si="13"/>
        <v>-2405.05</v>
      </c>
      <c r="J60" s="165">
        <f t="shared" si="16"/>
        <v>67.278231292517</v>
      </c>
      <c r="K60" s="165">
        <v>4261.9</v>
      </c>
      <c r="L60" s="165">
        <f aca="true" t="shared" si="18" ref="L60:L66">F60-K60</f>
        <v>683.0500000000002</v>
      </c>
      <c r="M60" s="218">
        <f t="shared" si="17"/>
        <v>1.160268894155189</v>
      </c>
      <c r="N60" s="164">
        <f>E60-червень!E60</f>
        <v>600</v>
      </c>
      <c r="O60" s="168">
        <f>F60-червень!F60</f>
        <v>110.17000000000007</v>
      </c>
      <c r="P60" s="167">
        <f t="shared" si="14"/>
        <v>-489.8299999999999</v>
      </c>
      <c r="Q60" s="165">
        <f t="shared" si="11"/>
        <v>18.36166666666668</v>
      </c>
      <c r="R60" s="37">
        <v>500</v>
      </c>
      <c r="S60" s="37">
        <f t="shared" si="15"/>
        <v>-389.8299999999999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1118.3</v>
      </c>
      <c r="G62" s="162"/>
      <c r="H62" s="164"/>
      <c r="I62" s="165"/>
      <c r="J62" s="165"/>
      <c r="K62" s="166">
        <v>731.46</v>
      </c>
      <c r="L62" s="165">
        <f t="shared" si="18"/>
        <v>386.8399999999999</v>
      </c>
      <c r="M62" s="218">
        <f t="shared" si="17"/>
        <v>1.5288600880430918</v>
      </c>
      <c r="N62" s="195"/>
      <c r="O62" s="179">
        <f>F62-червень!F62</f>
        <v>48.58999999999992</v>
      </c>
      <c r="P62" s="166"/>
      <c r="Q62" s="165"/>
      <c r="R62" s="37"/>
      <c r="S62" s="37">
        <f t="shared" si="15"/>
        <v>48.58999999999992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54.64</v>
      </c>
      <c r="G64" s="162">
        <f t="shared" si="12"/>
        <v>4.640000000000001</v>
      </c>
      <c r="H64" s="164">
        <f t="shared" si="10"/>
        <v>109.28</v>
      </c>
      <c r="I64" s="165">
        <f t="shared" si="13"/>
        <v>-105.36</v>
      </c>
      <c r="J64" s="165">
        <f t="shared" si="16"/>
        <v>34.150000000000006</v>
      </c>
      <c r="K64" s="165">
        <v>78.18</v>
      </c>
      <c r="L64" s="165">
        <f t="shared" si="18"/>
        <v>-23.540000000000006</v>
      </c>
      <c r="M64" s="218">
        <f t="shared" si="17"/>
        <v>0.6988999744180097</v>
      </c>
      <c r="N64" s="164">
        <f>E64-червень!E64</f>
        <v>30</v>
      </c>
      <c r="O64" s="168">
        <f>F64-червень!F64</f>
        <v>0</v>
      </c>
      <c r="P64" s="167">
        <f t="shared" si="14"/>
        <v>-30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25.38</v>
      </c>
      <c r="G65" s="162">
        <f t="shared" si="12"/>
        <v>16.58</v>
      </c>
      <c r="H65" s="164">
        <f t="shared" si="10"/>
        <v>288.4090909090909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E65-червень!E65</f>
        <v>1.200000000000001</v>
      </c>
      <c r="O65" s="168">
        <f>F65-червень!F65</f>
        <v>0</v>
      </c>
      <c r="P65" s="167">
        <f t="shared" si="14"/>
        <v>-1.200000000000001</v>
      </c>
      <c r="Q65" s="165">
        <f t="shared" si="11"/>
        <v>0</v>
      </c>
      <c r="R65" s="37">
        <v>3.2</v>
      </c>
      <c r="S65" s="37">
        <f t="shared" si="15"/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1.02</v>
      </c>
      <c r="L66" s="165">
        <f t="shared" si="18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663069.5299999999</v>
      </c>
      <c r="G67" s="151">
        <f>F67-E67</f>
        <v>-99473.17000000004</v>
      </c>
      <c r="H67" s="152">
        <f>F67/E67*100</f>
        <v>86.95506887679863</v>
      </c>
      <c r="I67" s="153">
        <f>F67-D67</f>
        <v>-694421.5700000002</v>
      </c>
      <c r="J67" s="153">
        <f>F67/D67*100</f>
        <v>48.84522115835602</v>
      </c>
      <c r="K67" s="153">
        <v>580607.78</v>
      </c>
      <c r="L67" s="153">
        <f>F67-K67</f>
        <v>82461.74999999988</v>
      </c>
      <c r="M67" s="219">
        <f>F67/K67</f>
        <v>1.1420266018481529</v>
      </c>
      <c r="N67" s="151">
        <f>N8+N41+N65+N66</f>
        <v>123743.40000000004</v>
      </c>
      <c r="O67" s="151">
        <f>O8+O41+O65+O66</f>
        <v>19520.819999999996</v>
      </c>
      <c r="P67" s="155">
        <f>O67-N67</f>
        <v>-104222.58000000005</v>
      </c>
      <c r="Q67" s="153">
        <f>O67/N67*100</f>
        <v>15.775241346205124</v>
      </c>
      <c r="R67" s="27">
        <f>R8+R41+R65+R66</f>
        <v>108115.7</v>
      </c>
      <c r="S67" s="280">
        <f>O67-R67</f>
        <v>-88594.88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3.73</v>
      </c>
      <c r="G76" s="162">
        <f t="shared" si="19"/>
        <v>-13496.27</v>
      </c>
      <c r="H76" s="164">
        <f>F76/E76*100</f>
        <v>0.02762962962962963</v>
      </c>
      <c r="I76" s="167">
        <f t="shared" si="20"/>
        <v>-104202.3</v>
      </c>
      <c r="J76" s="167">
        <f>F76/D76*100</f>
        <v>0.0035794473697923234</v>
      </c>
      <c r="K76" s="167">
        <v>1535.06</v>
      </c>
      <c r="L76" s="167">
        <f t="shared" si="21"/>
        <v>-1531.33</v>
      </c>
      <c r="M76" s="209">
        <f>F76/K76</f>
        <v>0.0024298724479824892</v>
      </c>
      <c r="N76" s="164">
        <f>E76-червень!E76</f>
        <v>4500</v>
      </c>
      <c r="O76" s="168">
        <f>F76-червень!F76</f>
        <v>0.009999999999999787</v>
      </c>
      <c r="P76" s="167">
        <f t="shared" si="22"/>
        <v>-4499.99</v>
      </c>
      <c r="Q76" s="167">
        <f>O76/N76*100</f>
        <v>0.00022222222222221752</v>
      </c>
      <c r="R76" s="38">
        <v>0</v>
      </c>
      <c r="S76" s="38">
        <f aca="true" t="shared" si="23" ref="S76:S87">O76-R76</f>
        <v>0.009999999999999787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1617.15</v>
      </c>
      <c r="G77" s="162">
        <f t="shared" si="19"/>
        <v>-17612.85</v>
      </c>
      <c r="H77" s="164">
        <f>F77/E77*100</f>
        <v>8.409516380655226</v>
      </c>
      <c r="I77" s="167">
        <f t="shared" si="20"/>
        <v>-52382.85</v>
      </c>
      <c r="J77" s="167">
        <f>F77/D77*100</f>
        <v>2.9947222222222223</v>
      </c>
      <c r="K77" s="167">
        <v>6751.5</v>
      </c>
      <c r="L77" s="167">
        <f t="shared" si="21"/>
        <v>-5134.35</v>
      </c>
      <c r="M77" s="209">
        <f>F77/K77</f>
        <v>0.2395245500999778</v>
      </c>
      <c r="N77" s="164">
        <f>E77-червень!E77</f>
        <v>3600</v>
      </c>
      <c r="O77" s="168">
        <f>F77-червень!F77</f>
        <v>0</v>
      </c>
      <c r="P77" s="167">
        <f t="shared" si="22"/>
        <v>-3600</v>
      </c>
      <c r="Q77" s="167">
        <f>O77/N77*100</f>
        <v>0</v>
      </c>
      <c r="R77" s="38">
        <v>200</v>
      </c>
      <c r="S77" s="38">
        <f t="shared" si="23"/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6676.95</v>
      </c>
      <c r="G78" s="162">
        <f t="shared" si="19"/>
        <v>-13373.05</v>
      </c>
      <c r="H78" s="164">
        <f>F78/E78*100</f>
        <v>33.30149625935162</v>
      </c>
      <c r="I78" s="167">
        <f t="shared" si="20"/>
        <v>-72323.05</v>
      </c>
      <c r="J78" s="167">
        <f>F78/D78*100</f>
        <v>8.451835443037975</v>
      </c>
      <c r="K78" s="167">
        <v>9509.69</v>
      </c>
      <c r="L78" s="167">
        <f t="shared" si="21"/>
        <v>-2832.7400000000007</v>
      </c>
      <c r="M78" s="209">
        <f>F78/K78</f>
        <v>0.7021206790126702</v>
      </c>
      <c r="N78" s="164">
        <f>E78-червень!E78</f>
        <v>3850</v>
      </c>
      <c r="O78" s="168">
        <f>F78-червень!F78</f>
        <v>108.72999999999956</v>
      </c>
      <c r="P78" s="167">
        <f t="shared" si="22"/>
        <v>-3741.2700000000004</v>
      </c>
      <c r="Q78" s="167">
        <f>O78/N78*100</f>
        <v>2.824155844155833</v>
      </c>
      <c r="R78" s="38">
        <v>1500</v>
      </c>
      <c r="S78" s="38">
        <f t="shared" si="23"/>
        <v>-1391.2700000000004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19"/>
        <v>1</v>
      </c>
      <c r="H79" s="164">
        <f>F79/E79*100</f>
        <v>114.28571428571428</v>
      </c>
      <c r="I79" s="167">
        <f t="shared" si="20"/>
        <v>-4</v>
      </c>
      <c r="J79" s="167">
        <f>F79/D79*100</f>
        <v>66.66666666666666</v>
      </c>
      <c r="K79" s="167">
        <v>6</v>
      </c>
      <c r="L79" s="167">
        <f t="shared" si="21"/>
        <v>2</v>
      </c>
      <c r="M79" s="209"/>
      <c r="N79" s="164">
        <f>E79-червень!E79</f>
        <v>1</v>
      </c>
      <c r="O79" s="168">
        <f>F79-червень!F79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8305.83</v>
      </c>
      <c r="G80" s="185">
        <f t="shared" si="19"/>
        <v>-44481.17</v>
      </c>
      <c r="H80" s="186">
        <f>F80/E80*100</f>
        <v>15.734612688730179</v>
      </c>
      <c r="I80" s="187">
        <f t="shared" si="20"/>
        <v>-228912.2</v>
      </c>
      <c r="J80" s="187">
        <f>F80/D80*100</f>
        <v>3.501348527344233</v>
      </c>
      <c r="K80" s="187">
        <v>17802.25</v>
      </c>
      <c r="L80" s="187">
        <f t="shared" si="21"/>
        <v>-9496.42</v>
      </c>
      <c r="M80" s="214">
        <f>F80/K80</f>
        <v>0.4665606875535396</v>
      </c>
      <c r="N80" s="185">
        <f>N76+N77+N78+N79</f>
        <v>11951</v>
      </c>
      <c r="O80" s="189">
        <f>O76+O77+O78+O79</f>
        <v>109.73999999999957</v>
      </c>
      <c r="P80" s="187">
        <f t="shared" si="22"/>
        <v>-11841.26</v>
      </c>
      <c r="Q80" s="187">
        <f>O80/N80*100</f>
        <v>0.9182495188687103</v>
      </c>
      <c r="R80" s="39">
        <f>SUM(R76:R79)</f>
        <v>1701</v>
      </c>
      <c r="S80" s="39">
        <f t="shared" si="23"/>
        <v>-1591.2600000000004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5.21</v>
      </c>
      <c r="L81" s="167">
        <f t="shared" si="21"/>
        <v>30.1</v>
      </c>
      <c r="M81" s="209">
        <f>F81/K81</f>
        <v>6.777351247600769</v>
      </c>
      <c r="N81" s="164">
        <f>E81-червень!E81</f>
        <v>0</v>
      </c>
      <c r="O81" s="168">
        <f>F81-червень!F81</f>
        <v>0</v>
      </c>
      <c r="P81" s="167">
        <f t="shared" si="22"/>
        <v>0</v>
      </c>
      <c r="Q81" s="167"/>
      <c r="R81" s="38">
        <v>1</v>
      </c>
      <c r="S81" s="38">
        <f t="shared" si="23"/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5104.15</v>
      </c>
      <c r="G83" s="162">
        <f t="shared" si="19"/>
        <v>593.3499999999995</v>
      </c>
      <c r="H83" s="164">
        <f>F83/E83*100</f>
        <v>113.15398598918152</v>
      </c>
      <c r="I83" s="167">
        <f t="shared" si="20"/>
        <v>-3255.8500000000004</v>
      </c>
      <c r="J83" s="167">
        <f>F83/D83*100</f>
        <v>61.05442583732057</v>
      </c>
      <c r="K83" s="167">
        <v>4902.34</v>
      </c>
      <c r="L83" s="167">
        <f t="shared" si="21"/>
        <v>201.8099999999995</v>
      </c>
      <c r="M83" s="209"/>
      <c r="N83" s="164">
        <f>E83-червень!E83</f>
        <v>3.800000000000182</v>
      </c>
      <c r="O83" s="168">
        <f>F83-червень!F83</f>
        <v>0.13999999999941792</v>
      </c>
      <c r="P83" s="167">
        <f>O83-N83</f>
        <v>-3.660000000000764</v>
      </c>
      <c r="Q83" s="190">
        <f>O83/N83*100</f>
        <v>3.684210526300295</v>
      </c>
      <c r="R83" s="41">
        <v>2850</v>
      </c>
      <c r="S83" s="288">
        <f t="shared" si="23"/>
        <v>-2849.8600000000006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0.92</v>
      </c>
      <c r="L84" s="167">
        <f t="shared" si="21"/>
        <v>-0.87</v>
      </c>
      <c r="M84" s="209">
        <f aca="true" t="shared" si="24" ref="M84:M89">F84/K84</f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5139.509999999999</v>
      </c>
      <c r="G85" s="183">
        <f>G81+G84+G82+G83</f>
        <v>624.7099999999995</v>
      </c>
      <c r="H85" s="186">
        <f>F85/E85*100</f>
        <v>113.83693629839638</v>
      </c>
      <c r="I85" s="187">
        <f t="shared" si="20"/>
        <v>-3260.4900000000007</v>
      </c>
      <c r="J85" s="187">
        <f>F85/D85*100</f>
        <v>61.18464285714285</v>
      </c>
      <c r="K85" s="187">
        <v>4908.48</v>
      </c>
      <c r="L85" s="187">
        <f t="shared" si="21"/>
        <v>231.02999999999975</v>
      </c>
      <c r="M85" s="220">
        <f t="shared" si="24"/>
        <v>1.047067523958537</v>
      </c>
      <c r="N85" s="185">
        <f>N81+N84+N82+N83</f>
        <v>3.800000000000182</v>
      </c>
      <c r="O85" s="189">
        <f>O81+O84+O82+O83</f>
        <v>0.13999999999941792</v>
      </c>
      <c r="P85" s="185">
        <f>P81+P84+P82+P83</f>
        <v>-3.660000000000764</v>
      </c>
      <c r="Q85" s="187">
        <f>O85/N85*100</f>
        <v>3.684210526300295</v>
      </c>
      <c r="R85" s="39">
        <f>SUM(R81:R84)</f>
        <v>2851</v>
      </c>
      <c r="S85" s="39">
        <f t="shared" si="23"/>
        <v>-2850.8600000000006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7.74</v>
      </c>
      <c r="G86" s="162">
        <f t="shared" si="19"/>
        <v>-17.060000000000002</v>
      </c>
      <c r="H86" s="164">
        <f>F86/E86*100</f>
        <v>31.209677419354836</v>
      </c>
      <c r="I86" s="167">
        <f t="shared" si="20"/>
        <v>-30.259999999999998</v>
      </c>
      <c r="J86" s="167">
        <f>F86/D86*100</f>
        <v>20.36842105263158</v>
      </c>
      <c r="K86" s="167">
        <v>18.76</v>
      </c>
      <c r="L86" s="167">
        <f t="shared" si="21"/>
        <v>-11.020000000000001</v>
      </c>
      <c r="M86" s="209">
        <f t="shared" si="24"/>
        <v>0.4125799573560767</v>
      </c>
      <c r="N86" s="164">
        <f>E86-червень!E86</f>
        <v>1.5</v>
      </c>
      <c r="O86" s="168">
        <f>F86-червень!F86</f>
        <v>0</v>
      </c>
      <c r="P86" s="167">
        <f t="shared" si="22"/>
        <v>-1.5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13486.019999999999</v>
      </c>
      <c r="G88" s="192">
        <f>F88-E88</f>
        <v>-43840.58000000001</v>
      </c>
      <c r="H88" s="193">
        <f>F88/E88*100</f>
        <v>23.524890713909418</v>
      </c>
      <c r="I88" s="194">
        <f>F88-D88</f>
        <v>-232170.01</v>
      </c>
      <c r="J88" s="194">
        <f>F88/D88*100</f>
        <v>5.489798072532556</v>
      </c>
      <c r="K88" s="194">
        <v>22727.2</v>
      </c>
      <c r="L88" s="194">
        <f>F88-K88</f>
        <v>-9241.180000000002</v>
      </c>
      <c r="M88" s="221">
        <f t="shared" si="24"/>
        <v>0.5933867788376922</v>
      </c>
      <c r="N88" s="191">
        <f>N74+N75+N80+N85+N86</f>
        <v>11956.3</v>
      </c>
      <c r="O88" s="191">
        <f>O74+O75+O80+O85+O86</f>
        <v>109.87999999999899</v>
      </c>
      <c r="P88" s="194">
        <f t="shared" si="22"/>
        <v>-11846.42</v>
      </c>
      <c r="Q88" s="194">
        <f>O88/N88*100</f>
        <v>0.9190134071577243</v>
      </c>
      <c r="R88" s="27">
        <f>R80+R85+R86+R87</f>
        <v>4553.2</v>
      </c>
      <c r="S88" s="27">
        <f>S80+S85+S86+S87</f>
        <v>-4443.320000000001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676555.5499999999</v>
      </c>
      <c r="G89" s="192">
        <f>F89-E89</f>
        <v>-143313.75</v>
      </c>
      <c r="H89" s="193">
        <f>F89/E89*100</f>
        <v>82.51992726157692</v>
      </c>
      <c r="I89" s="194">
        <f>F89-D89</f>
        <v>-926591.5800000002</v>
      </c>
      <c r="J89" s="194">
        <f>F89/D89*100</f>
        <v>42.20171295194845</v>
      </c>
      <c r="K89" s="194">
        <f>K67+K88</f>
        <v>603334.98</v>
      </c>
      <c r="L89" s="194">
        <f>F89-K89</f>
        <v>73220.56999999995</v>
      </c>
      <c r="M89" s="221">
        <f t="shared" si="24"/>
        <v>1.1213597295485833</v>
      </c>
      <c r="N89" s="192">
        <f>N67+N88</f>
        <v>135699.70000000004</v>
      </c>
      <c r="O89" s="192">
        <f>O67+O88</f>
        <v>19630.699999999993</v>
      </c>
      <c r="P89" s="194">
        <f t="shared" si="22"/>
        <v>-116069.00000000004</v>
      </c>
      <c r="Q89" s="194">
        <f>O89/N89*100</f>
        <v>14.466281060311841</v>
      </c>
      <c r="R89" s="27">
        <f>R67+R88</f>
        <v>112668.9</v>
      </c>
      <c r="S89" s="27">
        <f>S67+S88</f>
        <v>-93038.20000000001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17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6130.7400000000025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42922</v>
      </c>
      <c r="D93" s="29">
        <v>5518.1</v>
      </c>
      <c r="G93" s="4" t="s">
        <v>58</v>
      </c>
      <c r="O93" s="303"/>
      <c r="P93" s="303"/>
    </row>
    <row r="94" spans="3:16" ht="15">
      <c r="C94" s="81">
        <v>42921</v>
      </c>
      <c r="D94" s="29">
        <v>5276.9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42920</v>
      </c>
      <c r="D95" s="29">
        <v>2960.1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949.1899999999999</v>
      </c>
      <c r="G100" s="68">
        <f>G48+G51+G52</f>
        <v>242.19</v>
      </c>
      <c r="H100" s="69"/>
      <c r="I100" s="69"/>
      <c r="N100" s="29">
        <f>N48+N51+N52</f>
        <v>86</v>
      </c>
      <c r="O100" s="202">
        <f>O48+O51+O52</f>
        <v>38.74000000000002</v>
      </c>
      <c r="P100" s="29">
        <f>P48+P51+P52</f>
        <v>-47.25999999999998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627507.9</v>
      </c>
      <c r="G102" s="29">
        <f>F102-E102</f>
        <v>-100103.59999999998</v>
      </c>
      <c r="H102" s="230">
        <f>F102/E102</f>
        <v>0.8624216357218104</v>
      </c>
      <c r="I102" s="29">
        <f>F102-D102</f>
        <v>-671540.7000000001</v>
      </c>
      <c r="J102" s="230">
        <f>F102/D102</f>
        <v>0.48305190429364997</v>
      </c>
      <c r="N102" s="29">
        <f>N9+N15+N17+N18+N19+N23+N42+N45+N65+N59</f>
        <v>118465.80000000003</v>
      </c>
      <c r="O102" s="229">
        <f>O9+O15+O17+O18+O19+O23+O42+O45+O65+O59</f>
        <v>15804.049999999996</v>
      </c>
      <c r="P102" s="29">
        <f>O102-N102</f>
        <v>-102661.75000000003</v>
      </c>
      <c r="Q102" s="230">
        <f>O102/N102</f>
        <v>0.13340601253695153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35552.7</v>
      </c>
      <c r="G103" s="29">
        <f>G43+G44+G46+G48+G50+G51+G52+G53+G54+G60+G64+G47</f>
        <v>626.7499999999984</v>
      </c>
      <c r="H103" s="230">
        <f>F103/E103</f>
        <v>1.017792117075852</v>
      </c>
      <c r="I103" s="29">
        <f>I43+I44+I46+I48+I50+I51+I52+I53+I54+I60+I64+I47</f>
        <v>-22884.550000000003</v>
      </c>
      <c r="J103" s="230">
        <f>F103/D103</f>
        <v>0.6083363990246823</v>
      </c>
      <c r="K103" s="29">
        <f aca="true" t="shared" si="25" ref="K103:P103">K43+K44+K46+K48+K50+K51+K52+K53+K54+K60+K64+K47</f>
        <v>36542.33</v>
      </c>
      <c r="L103" s="29">
        <f t="shared" si="25"/>
        <v>-984.3800000000017</v>
      </c>
      <c r="M103" s="29">
        <f t="shared" si="25"/>
        <v>10.77043199928141</v>
      </c>
      <c r="N103" s="29">
        <f>N43+N44+N46+N48+N50+N51+N52+N53+N54+N60+N64+N47+N66</f>
        <v>5277.6</v>
      </c>
      <c r="O103" s="229">
        <f>O43+O44+O46+O48+O50+O51+O52+O53+O54+O60+O64+O47+O66</f>
        <v>3709.0199999999995</v>
      </c>
      <c r="P103" s="29">
        <f t="shared" si="25"/>
        <v>-1568.5800000000002</v>
      </c>
      <c r="Q103" s="230">
        <f>O103/N103</f>
        <v>0.7027853569804455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663060.6</v>
      </c>
      <c r="G104" s="29">
        <f t="shared" si="26"/>
        <v>-99476.84999999998</v>
      </c>
      <c r="H104" s="230">
        <f>F104/E104</f>
        <v>0.8695389779483824</v>
      </c>
      <c r="I104" s="29">
        <f t="shared" si="26"/>
        <v>-694425.2500000001</v>
      </c>
      <c r="J104" s="230">
        <f>F104/D104</f>
        <v>0.4884456332715551</v>
      </c>
      <c r="K104" s="29">
        <f t="shared" si="26"/>
        <v>36542.33</v>
      </c>
      <c r="L104" s="29">
        <f t="shared" si="26"/>
        <v>-984.3800000000017</v>
      </c>
      <c r="M104" s="29">
        <f t="shared" si="26"/>
        <v>10.77043199928141</v>
      </c>
      <c r="N104" s="29">
        <f t="shared" si="26"/>
        <v>123743.40000000004</v>
      </c>
      <c r="O104" s="229">
        <f t="shared" si="26"/>
        <v>19513.069999999996</v>
      </c>
      <c r="P104" s="29">
        <f t="shared" si="26"/>
        <v>-104230.33000000003</v>
      </c>
      <c r="Q104" s="230">
        <f>O104/N104</f>
        <v>0.15768978385917948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8.929999999934807</v>
      </c>
      <c r="G105" s="29">
        <f t="shared" si="27"/>
        <v>3.6799999999348074</v>
      </c>
      <c r="H105" s="230"/>
      <c r="I105" s="29">
        <f t="shared" si="27"/>
        <v>3.6799999999348074</v>
      </c>
      <c r="J105" s="230"/>
      <c r="K105" s="29">
        <f t="shared" si="27"/>
        <v>544065.4500000001</v>
      </c>
      <c r="L105" s="29">
        <f t="shared" si="27"/>
        <v>83446.12999999989</v>
      </c>
      <c r="M105" s="29">
        <f t="shared" si="27"/>
        <v>-9.628405397433257</v>
      </c>
      <c r="N105" s="29">
        <f t="shared" si="27"/>
        <v>0</v>
      </c>
      <c r="O105" s="29">
        <f t="shared" si="27"/>
        <v>7.75</v>
      </c>
      <c r="P105" s="29">
        <f t="shared" si="27"/>
        <v>7.749999999985448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33740.34</v>
      </c>
      <c r="G111" s="192">
        <f>F111-E111</f>
        <v>-41688.32000000001</v>
      </c>
      <c r="H111" s="193">
        <f>F111/E111*100</f>
        <v>44.73145883805969</v>
      </c>
      <c r="I111" s="194">
        <f>F111-D111</f>
        <v>-284323.91000000003</v>
      </c>
      <c r="J111" s="194">
        <f>F111/D111*100</f>
        <v>10.608026522943083</v>
      </c>
      <c r="K111" s="194">
        <v>3039.87</v>
      </c>
      <c r="L111" s="194">
        <f>F111-K111</f>
        <v>30700.469999999998</v>
      </c>
      <c r="M111" s="269">
        <f>F111/K111</f>
        <v>11.099270692496718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696809.8699999999</v>
      </c>
      <c r="G112" s="192">
        <f>F112-E112</f>
        <v>-141161.4900000001</v>
      </c>
      <c r="H112" s="193">
        <f>F112/E112*100</f>
        <v>83.15437773434165</v>
      </c>
      <c r="I112" s="194">
        <f>F112-D112</f>
        <v>-978745.4800000002</v>
      </c>
      <c r="J112" s="194">
        <f>F112/D112*100</f>
        <v>41.58680105673619</v>
      </c>
      <c r="K112" s="194">
        <f>K89+K111</f>
        <v>606374.85</v>
      </c>
      <c r="L112" s="194">
        <f>F112-K112</f>
        <v>90435.0199999999</v>
      </c>
      <c r="M112" s="269">
        <f>F112/K112</f>
        <v>1.1491404533021117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1242638.9499999997</v>
      </c>
      <c r="G124" s="278">
        <f t="shared" si="29"/>
        <v>-145988.01000000024</v>
      </c>
      <c r="H124" s="277">
        <f t="shared" si="31"/>
        <v>89.4868806234325</v>
      </c>
      <c r="I124" s="279">
        <f t="shared" si="30"/>
        <v>-1655785.0900000003</v>
      </c>
      <c r="J124" s="279">
        <f t="shared" si="32"/>
        <v>42.872917587310646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42" sqref="B4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212</v>
      </c>
      <c r="O3" s="331" t="s">
        <v>213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209</v>
      </c>
      <c r="F4" s="314" t="s">
        <v>33</v>
      </c>
      <c r="G4" s="305" t="s">
        <v>210</v>
      </c>
      <c r="H4" s="316" t="s">
        <v>211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217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214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 t="shared" si="18"/>
        <v>477.45000000000005</v>
      </c>
      <c r="M62" s="218">
        <f t="shared" si="17"/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 t="shared" si="15"/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03"/>
      <c r="P93" s="303"/>
    </row>
    <row r="94" spans="3:16" ht="15">
      <c r="C94" s="81">
        <v>42913</v>
      </c>
      <c r="D94" s="29">
        <v>9872.9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42912</v>
      </c>
      <c r="D95" s="29">
        <v>4876.1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225.52589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17.633620466447557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17.633620466447557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-16.33295973027756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207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201</v>
      </c>
      <c r="O3" s="331" t="s">
        <v>202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198</v>
      </c>
      <c r="F4" s="314" t="s">
        <v>33</v>
      </c>
      <c r="G4" s="305" t="s">
        <v>199</v>
      </c>
      <c r="H4" s="316" t="s">
        <v>200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208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204</v>
      </c>
      <c r="L5" s="309"/>
      <c r="M5" s="310"/>
      <c r="N5" s="317"/>
      <c r="O5" s="319"/>
      <c r="P5" s="306"/>
      <c r="Q5" s="307"/>
      <c r="R5" s="311" t="s">
        <v>203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3"/>
      <c r="P93" s="303"/>
    </row>
    <row r="94" spans="3:16" ht="15">
      <c r="C94" s="81">
        <v>42885</v>
      </c>
      <c r="D94" s="29">
        <v>10664.9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42884</v>
      </c>
      <c r="D95" s="29">
        <v>6919.44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1135.71022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196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191</v>
      </c>
      <c r="O3" s="331" t="s">
        <v>190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187</v>
      </c>
      <c r="F4" s="314" t="s">
        <v>33</v>
      </c>
      <c r="G4" s="305" t="s">
        <v>188</v>
      </c>
      <c r="H4" s="316" t="s">
        <v>189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197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192</v>
      </c>
      <c r="L5" s="309"/>
      <c r="M5" s="310"/>
      <c r="N5" s="317"/>
      <c r="O5" s="319"/>
      <c r="P5" s="306"/>
      <c r="Q5" s="307"/>
      <c r="R5" s="311" t="s">
        <v>193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3"/>
      <c r="P93" s="303"/>
    </row>
    <row r="94" spans="3:16" ht="15">
      <c r="C94" s="81">
        <v>42852</v>
      </c>
      <c r="D94" s="29">
        <v>13266.8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42851</v>
      </c>
      <c r="D95" s="29">
        <v>6064.2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102.57358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0" t="s">
        <v>185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  <c r="T1" s="246"/>
      <c r="U1" s="249"/>
      <c r="V1" s="259"/>
      <c r="W1" s="259"/>
    </row>
    <row r="2" spans="2:23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163</v>
      </c>
      <c r="O3" s="331" t="s">
        <v>164</v>
      </c>
      <c r="P3" s="331"/>
      <c r="Q3" s="331"/>
      <c r="R3" s="331"/>
      <c r="S3" s="331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2"/>
      <c r="B4" s="324"/>
      <c r="C4" s="325"/>
      <c r="D4" s="326"/>
      <c r="E4" s="332" t="s">
        <v>153</v>
      </c>
      <c r="F4" s="314" t="s">
        <v>33</v>
      </c>
      <c r="G4" s="305" t="s">
        <v>162</v>
      </c>
      <c r="H4" s="316" t="s">
        <v>176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186</v>
      </c>
      <c r="P4" s="305" t="s">
        <v>49</v>
      </c>
      <c r="Q4" s="30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169</v>
      </c>
      <c r="L5" s="309"/>
      <c r="M5" s="310"/>
      <c r="N5" s="317"/>
      <c r="O5" s="319"/>
      <c r="P5" s="306"/>
      <c r="Q5" s="307"/>
      <c r="R5" s="308" t="s">
        <v>102</v>
      </c>
      <c r="S5" s="31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3"/>
      <c r="P93" s="303"/>
    </row>
    <row r="94" spans="3:16" ht="15">
      <c r="C94" s="81">
        <v>42824</v>
      </c>
      <c r="D94" s="29">
        <v>11112.7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42823</v>
      </c>
      <c r="D95" s="29">
        <v>8830.3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1399.2856000000002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144</v>
      </c>
      <c r="O3" s="331" t="s">
        <v>148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149</v>
      </c>
      <c r="F4" s="314" t="s">
        <v>33</v>
      </c>
      <c r="G4" s="305" t="s">
        <v>145</v>
      </c>
      <c r="H4" s="316" t="s">
        <v>146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152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147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3"/>
      <c r="P90" s="303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42790</v>
      </c>
      <c r="D92" s="29">
        <v>4206.9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v>7713.34596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134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123</v>
      </c>
      <c r="O3" s="331" t="s">
        <v>118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135</v>
      </c>
      <c r="F4" s="314" t="s">
        <v>33</v>
      </c>
      <c r="G4" s="305" t="s">
        <v>136</v>
      </c>
      <c r="H4" s="316" t="s">
        <v>137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124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142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3"/>
      <c r="P90" s="303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42762</v>
      </c>
      <c r="D92" s="29">
        <v>8862.4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9505303.41/1000</f>
        <v>9505.30341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6" sqref="J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0" t="s">
        <v>132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126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129</v>
      </c>
      <c r="O3" s="331" t="s">
        <v>125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127</v>
      </c>
      <c r="F4" s="314" t="s">
        <v>33</v>
      </c>
      <c r="G4" s="305" t="s">
        <v>128</v>
      </c>
      <c r="H4" s="316" t="s">
        <v>122</v>
      </c>
      <c r="I4" s="305" t="s">
        <v>103</v>
      </c>
      <c r="J4" s="316" t="s">
        <v>104</v>
      </c>
      <c r="K4" s="85" t="s">
        <v>114</v>
      </c>
      <c r="L4" s="204" t="s">
        <v>113</v>
      </c>
      <c r="M4" s="90" t="s">
        <v>63</v>
      </c>
      <c r="N4" s="316"/>
      <c r="O4" s="318" t="s">
        <v>133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130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3"/>
      <c r="P90" s="303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42732</v>
      </c>
      <c r="D92" s="29">
        <v>19085.6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'[1]залишки  (2)'!$G$6/1000</f>
        <v>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2017-07-07T08:05:50Z</cp:lastPrinted>
  <dcterms:created xsi:type="dcterms:W3CDTF">2003-07-28T11:27:56Z</dcterms:created>
  <dcterms:modified xsi:type="dcterms:W3CDTF">2017-07-07T08:22:49Z</dcterms:modified>
  <cp:category/>
  <cp:version/>
  <cp:contentType/>
  <cp:contentStatus/>
</cp:coreProperties>
</file>